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activeTab="2"/>
  </bookViews>
  <sheets>
    <sheet name="Income Stmt" sheetId="1" r:id="rId1"/>
    <sheet name="BSheet" sheetId="2" r:id="rId2"/>
    <sheet name="Notes" sheetId="3" r:id="rId3"/>
  </sheets>
  <definedNames>
    <definedName name="_xlnm.Print_Area" localSheetId="1">'BSheet'!$B$2:$E$67</definedName>
    <definedName name="_xlnm.Print_Area" localSheetId="0">'Income Stmt'!$B$2:$G$45</definedName>
    <definedName name="_xlnm.Print_Area" localSheetId="2">'Notes'!$B$10:$L$188</definedName>
    <definedName name="_xlnm.Print_Titles" localSheetId="1">'BSheet'!$2:$17</definedName>
    <definedName name="_xlnm.Print_Titles" localSheetId="2">'Notes'!$2:$9</definedName>
  </definedNames>
  <calcPr fullCalcOnLoad="1"/>
</workbook>
</file>

<file path=xl/sharedStrings.xml><?xml version="1.0" encoding="utf-8"?>
<sst xmlns="http://schemas.openxmlformats.org/spreadsheetml/2006/main" count="293" uniqueCount="243">
  <si>
    <t>The figures have not been audited</t>
  </si>
  <si>
    <t>CONSOLIDATED INCOME STATEMENT</t>
  </si>
  <si>
    <t>Current Year</t>
  </si>
  <si>
    <t>Cumulative</t>
  </si>
  <si>
    <t>Quarter</t>
  </si>
  <si>
    <t>Year-to-date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</si>
  <si>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</si>
  <si>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</si>
  <si>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</si>
  <si>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</si>
  <si>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</si>
  <si>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</si>
  <si>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</si>
  <si>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</si>
  <si>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</si>
  <si>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 (loss) before interest on borrowings,</t>
  </si>
  <si>
    <t>depreciation 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</si>
  <si>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</si>
  <si>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</si>
  <si>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</si>
  <si>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</si>
  <si>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</si>
  <si>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</si>
  <si>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 (loss) after interest on borrowings, depreciation</t>
  </si>
  <si>
    <t>and amortisation and exceptional items but before income tax,</t>
  </si>
  <si>
    <t>(f)</t>
  </si>
  <si>
    <t>Share in the results of associated companies</t>
  </si>
  <si>
    <t>(g)</t>
  </si>
  <si>
    <t>Profit/ (loss) before taxation, minority interests and extraordinary items</t>
  </si>
  <si>
    <t>(h)</t>
  </si>
  <si>
    <t>Taxation</t>
  </si>
  <si>
    <t>(i)</t>
  </si>
  <si>
    <t>(i)  Profit/ (loss) after taxation before deducting minority interests</t>
  </si>
  <si>
    <t>(ii) Minority interests</t>
  </si>
  <si>
    <t>(j)</t>
  </si>
  <si>
    <t>Profit/ (loss) after taxation attributable to members of the Company</t>
  </si>
  <si>
    <t>(k)</t>
  </si>
  <si>
    <t>Extraordinary items</t>
  </si>
  <si>
    <t>(l)</t>
  </si>
  <si>
    <t>Profit/ (loss) attributable to members of the Company</t>
  </si>
  <si>
    <t>3.</t>
  </si>
  <si>
    <t>Earnings per share based on 2(j) above:-</t>
  </si>
  <si>
    <t>(i) Basic (based on 259,502,583 ordinary shares) (Sen)</t>
  </si>
  <si>
    <t>As at</t>
  </si>
  <si>
    <t>preceding</t>
  </si>
  <si>
    <t>financial</t>
  </si>
  <si>
    <t>year end</t>
  </si>
  <si>
    <t>current</t>
  </si>
  <si>
    <t>end of</t>
  </si>
  <si>
    <t>FIXED ASSETS</t>
  </si>
  <si>
    <t>INVESTMENT IN ASSOCIATED COMPANIES</t>
  </si>
  <si>
    <t>INVESTMENTS</t>
  </si>
  <si>
    <t>LAND AND DEVELOPMENT EXPENDITURE</t>
  </si>
  <si>
    <t>SECURITY RETAINERS' ACCUMULATION FUND</t>
  </si>
  <si>
    <t>GOODWILL ON CONSOLIDATION</t>
  </si>
  <si>
    <t>DEFERRED EXPENDITURE</t>
  </si>
  <si>
    <t>Current Assets</t>
  </si>
  <si>
    <t>Stocks</t>
  </si>
  <si>
    <t xml:space="preserve">Other debtors, deposits and prepayments </t>
  </si>
  <si>
    <t>Short-term deposits</t>
  </si>
  <si>
    <t>Cash and bank balances</t>
  </si>
  <si>
    <t>Trade debtors</t>
  </si>
  <si>
    <t>Land and development expenditure - current portion</t>
  </si>
  <si>
    <t>Amount due from associated companies</t>
  </si>
  <si>
    <t>Current Liabilities</t>
  </si>
  <si>
    <t>Trade creditors</t>
  </si>
  <si>
    <t>Other creditors and accruals</t>
  </si>
  <si>
    <t>Sinking fund reserves</t>
  </si>
  <si>
    <t>Loans - current portion</t>
  </si>
  <si>
    <t>Short term bank borrowings</t>
  </si>
  <si>
    <t>Hire purchase and lease creditors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</si>
  <si>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</si>
  <si>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</si>
  <si>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</si>
  <si>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</si>
  <si>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</si>
  <si>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</si>
  <si>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</si>
  <si>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</si>
  <si>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</si>
  <si>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Exchange fluctuation reserve</t>
  </si>
  <si>
    <t>Unappropriated profit/ (Accumulated loss)</t>
  </si>
  <si>
    <t>Minority Interests</t>
  </si>
  <si>
    <t>Loans - non current portion</t>
  </si>
  <si>
    <t>Security retainers</t>
  </si>
  <si>
    <t>Deferred licence fees</t>
  </si>
  <si>
    <t>Deferred taxation</t>
  </si>
  <si>
    <t>Net tangible assets per share (Sen)</t>
  </si>
  <si>
    <t>CONSOLIDATED BALANCE SHEET</t>
  </si>
  <si>
    <t>NOTES TO THE ACCOUNTS</t>
  </si>
  <si>
    <t>Accounting policies</t>
  </si>
  <si>
    <t>There are no extraordinary items included in the accounts.</t>
  </si>
  <si>
    <t>4.</t>
  </si>
  <si>
    <t>5.</t>
  </si>
  <si>
    <t>Pre-acquisition profits</t>
  </si>
  <si>
    <t>6.</t>
  </si>
  <si>
    <t>Sale of investments/ properties</t>
  </si>
  <si>
    <t>7.</t>
  </si>
  <si>
    <t>Quoted securities</t>
  </si>
  <si>
    <t>8.</t>
  </si>
  <si>
    <t>Group composition</t>
  </si>
  <si>
    <t>9.</t>
  </si>
  <si>
    <t>Corporate proposals</t>
  </si>
  <si>
    <t>proposed employees' share option scheme;</t>
  </si>
  <si>
    <t>10.</t>
  </si>
  <si>
    <t>Seasonality/ cyclicality</t>
  </si>
  <si>
    <t>The business operations of the Group are not affected by any seasonality/ cyclicality.</t>
  </si>
  <si>
    <t>11.</t>
  </si>
  <si>
    <t>Debt/ equity securities and share buy-backs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</si>
  <si>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</si>
  <si>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</si>
  <si>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</si>
  <si>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</si>
  <si>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</si>
  <si>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</si>
  <si>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</si>
  <si>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</si>
  <si>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</si>
  <si>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(ii)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</si>
  <si>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</si>
  <si>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</si>
  <si>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</si>
  <si>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</si>
  <si>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</si>
  <si>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</si>
  <si>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</si>
  <si>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</si>
  <si>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</si>
  <si>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Net assets</t>
  </si>
  <si>
    <t>employed</t>
  </si>
  <si>
    <t>17.</t>
  </si>
  <si>
    <t>Quarterly analysis</t>
  </si>
  <si>
    <t>18.</t>
  </si>
  <si>
    <t>Review of results</t>
  </si>
  <si>
    <t>19.</t>
  </si>
  <si>
    <t>Prospects</t>
  </si>
  <si>
    <t>20.</t>
  </si>
  <si>
    <t>Profit forecast/ profit guarantee</t>
  </si>
  <si>
    <t>Not applicable</t>
  </si>
  <si>
    <t>21.</t>
  </si>
  <si>
    <t>Dividend</t>
  </si>
  <si>
    <t>Total investments at cost</t>
  </si>
  <si>
    <t>Total investment at market value at end of reporting period</t>
  </si>
  <si>
    <t>A suit was filed on 25 March 1998 in the High Court of Shah Alam by the Company against Rangka</t>
  </si>
  <si>
    <t>There has been no issuance or repayment of debt and equity securities, share buy back, share cancellations,</t>
  </si>
  <si>
    <t>(Company No. 47908-K)</t>
  </si>
  <si>
    <r>
      <t>D</t>
    </r>
    <r>
      <rPr>
        <b/>
        <sz val="11"/>
        <rFont val="Times New Roman"/>
        <family val="1"/>
      </rPr>
      <t xml:space="preserve">IJAYA </t>
    </r>
    <r>
      <rPr>
        <b/>
        <sz val="14"/>
        <rFont val="Times New Roman"/>
        <family val="1"/>
      </rPr>
      <t>C</t>
    </r>
    <r>
      <rPr>
        <b/>
        <sz val="11"/>
        <rFont val="Times New Roman"/>
        <family val="1"/>
      </rPr>
      <t xml:space="preserve">ORPORATION </t>
    </r>
    <r>
      <rPr>
        <b/>
        <sz val="14"/>
        <rFont val="Times New Roman"/>
        <family val="1"/>
      </rPr>
      <t>B</t>
    </r>
    <r>
      <rPr>
        <b/>
        <sz val="11"/>
        <rFont val="Times New Roman"/>
        <family val="1"/>
      </rPr>
      <t>ERHAD</t>
    </r>
  </si>
  <si>
    <t>Provision for diminution in value of investment in an associated company</t>
  </si>
  <si>
    <t>Total investments at carrying value/ book value (after provision for diminution in value)</t>
  </si>
  <si>
    <t>Long Term Borrowings and Deferred Liabilities</t>
  </si>
  <si>
    <t>(ii) Fully diluted (Sen)</t>
  </si>
  <si>
    <t>N/A</t>
  </si>
  <si>
    <t>Note:</t>
  </si>
  <si>
    <t>31/12/1999</t>
  </si>
  <si>
    <t>31/12/1998</t>
  </si>
  <si>
    <t>financial year</t>
  </si>
  <si>
    <t>ENDED 31 DECEMBER 1999</t>
  </si>
  <si>
    <t>Gain arising on compulsory acquisition by government of land in Sg. Besi</t>
  </si>
  <si>
    <t>Loss arising on disposal of development land in Semenyih</t>
  </si>
  <si>
    <t>Loss on disposal of quoted investments</t>
  </si>
  <si>
    <t>Provision for deposit paid and related expenses for aborted purchase of land in Selangor</t>
  </si>
  <si>
    <t>Provision for deposit paid and related expenses for aborted purchase of land in Penang</t>
  </si>
  <si>
    <t>Provision for deposit paid and related expenses for aborted purchase of land in Wangsa Maju</t>
  </si>
  <si>
    <t>Particulars of the Group's borrowings as at 31 December 1999 are as follows:</t>
  </si>
  <si>
    <t xml:space="preserve">particulars of investments in quoted shares and loan stocks as at 31 December 1999: </t>
  </si>
  <si>
    <t>The Company has provided corporate guarantees of RM109.7 million for banking facilities granted to its</t>
  </si>
  <si>
    <t>Stockbroking</t>
  </si>
  <si>
    <t>QUARTERLY REPORT ON CONSOLIDATED RESULTS FOR THE FINANCIAL YEAR</t>
  </si>
  <si>
    <t>sales of quoted securities for the current financial year ended 31 December 1999 amounted to RM1.1</t>
  </si>
  <si>
    <t>million resulting in net loss on disposal of RM1.4 million</t>
  </si>
  <si>
    <t>Exceptional items included in the Income Statement comprise of:</t>
  </si>
  <si>
    <t>There are no pre-acquisition profits in the accounts.</t>
  </si>
  <si>
    <t>The Company's wholly owned subsidiary, Bright Phase Sdn Bhd, had entered into a conditional sale and</t>
  </si>
  <si>
    <t>purchase agreement to acquire an additional 39.5% equity interest in South Johor Equities Sdn Bhd which</t>
  </si>
  <si>
    <t>will increase Dijaya's shareholding to 70.0%. This proposal is pending the approvals of the SC and other</t>
  </si>
  <si>
    <t>relevant authorities..</t>
  </si>
  <si>
    <t>proposed rights issue of RM41.15 million nominal amount of irredeemable unsecured loan stocks</t>
  </si>
  <si>
    <t>The following proposals which were previously approved by the SC are pending implementation:</t>
  </si>
  <si>
    <t>In respect of the proposed acquisition of 1,515.2 acres of land in Batang Berjuntai, Selangor for a purchase</t>
  </si>
  <si>
    <t>seek legal advice on the appropriate course of action to be taken in respect of this matter.</t>
  </si>
  <si>
    <t>shares held as treasury shares and resale of treasury shares for the financial year ended 31 December 1999.</t>
  </si>
  <si>
    <t>subsidiary companies.</t>
  </si>
  <si>
    <t>consideration of RM121.2 million, the approval from the SC had since lapsed on 31 January 2000 and the</t>
  </si>
  <si>
    <t>Company will not be seeking any further extension of time to implement the transaction. The Company shall</t>
  </si>
  <si>
    <t xml:space="preserve">(a) </t>
  </si>
  <si>
    <t xml:space="preserve">(b) </t>
  </si>
  <si>
    <t>development business and engineering businesses.</t>
  </si>
  <si>
    <t>No provision has been made for taxation in respect of current financial year in accordance with the provision of</t>
  </si>
  <si>
    <t>composition of the Group took place during the year:-</t>
  </si>
  <si>
    <t>Segmental analysis for the financial year ended 31 December 1999:</t>
  </si>
  <si>
    <t>In addition to the disposal of an associated company disclosed in Note 6 above, the following changes in</t>
  </si>
  <si>
    <t>consideration of RM2.3 million which has been fully paid and the disposal realised a gain of RM1.8 million.</t>
  </si>
  <si>
    <r>
      <t>D</t>
    </r>
    <r>
      <rPr>
        <b/>
        <sz val="11"/>
        <rFont val="Times New Roman"/>
        <family val="1"/>
      </rPr>
      <t xml:space="preserve">IJAYA </t>
    </r>
    <r>
      <rPr>
        <b/>
        <sz val="16"/>
        <rFont val="Times New Roman"/>
        <family val="1"/>
      </rPr>
      <t>C</t>
    </r>
    <r>
      <rPr>
        <b/>
        <sz val="11"/>
        <rFont val="Times New Roman"/>
        <family val="1"/>
      </rPr>
      <t xml:space="preserve">ORPORATION </t>
    </r>
    <r>
      <rPr>
        <b/>
        <sz val="16"/>
        <rFont val="Times New Roman"/>
        <family val="1"/>
      </rPr>
      <t>B</t>
    </r>
    <r>
      <rPr>
        <b/>
        <sz val="11"/>
        <rFont val="Times New Roman"/>
        <family val="1"/>
      </rPr>
      <t>ERHAD</t>
    </r>
  </si>
  <si>
    <t>There are no comparative figures in the preceding year corresponding quarter as this is the first year of quarterly reporting.</t>
  </si>
  <si>
    <t>The turnover figure for preceding year-to-date ended 31/12/98 has been restated for better comparison.</t>
  </si>
  <si>
    <t>The accounting policies and methods of computation adopted are consistent with those applied in the most recent</t>
  </si>
  <si>
    <t>annual financial statement with the exception the results of Berjaya Ditan Sdn Bhd, an associated company, has</t>
  </si>
  <si>
    <t>not been equity accounted for the Group's share in view of the impending dilution of the Group's interest in that</t>
  </si>
  <si>
    <t>company.  A provision for diminution of RM65.4 million has been made to write down the Group's carrying value</t>
  </si>
  <si>
    <t xml:space="preserve">of investment in Berjaya Ditan to its share of net tangible assets as at 31 December 1999. </t>
  </si>
  <si>
    <t>transfer from deferred taxation</t>
  </si>
  <si>
    <t>underprovision of taxation in previous years</t>
  </si>
  <si>
    <t>the Income Tax (Amendment) Act 1999. Included in taxation are :</t>
  </si>
  <si>
    <t>Material litigation</t>
  </si>
  <si>
    <t>Bersemi Sdn Bhd, Lastery Sdn Bhd and Batu Ferringgi Garden Sdn Bhd (the" Defendants") for the</t>
  </si>
  <si>
    <t>On 9 March 1999 Tropicana Golf &amp; Country Resort Bhd, a wholly-owned subsidiary of the Company disposed</t>
  </si>
  <si>
    <t>its entire shareholding of 29% in the issued and paid-up share capital of Jalinan Mashyur Sdn Bhd for a cash</t>
  </si>
  <si>
    <t>the Company increased its equity interest in Jasa Megah Marketing Sdn Bhd from 49% to 69.4% by</t>
  </si>
  <si>
    <t>acquiring additional ordinary shares at a nominal consideration of RM2.00.</t>
  </si>
  <si>
    <t>the Company also acquired the remaining 10,000 ordinary shares in Bakat Rampai Sdn Bhd for a total cash</t>
  </si>
  <si>
    <t>consideration of RM9,880.00, making it a wholly-owned subsidiary company.</t>
  </si>
  <si>
    <t>A wholly-owned subsidiary company, Accroway Sdn Bhd disposed its entire equity interest in JMI</t>
  </si>
  <si>
    <t>investment Pte Ltd., a company incorporated in Singapore for a cash consideration of RM6,600.00.</t>
  </si>
  <si>
    <t>A wholly-owned subsidiary company, Tropicana Golf &amp; Country Resort Bhd acquired the remaining</t>
  </si>
  <si>
    <t>50,000 ordinary shares in Puncak Suria Sdn Bhd for a cash consideration of RM350,000-00 making it a</t>
  </si>
  <si>
    <t>wholly-owned subsidiary company.</t>
  </si>
  <si>
    <t>proposed special Bumiputra issue of 31,000,000 new Dijaya shares at an indicative issue price of RM1.90</t>
  </si>
  <si>
    <t>per share to Bumiputra investors approved by the Ministry of International Trade and Industry; and</t>
  </si>
  <si>
    <t>("ICULS") at 100% of the nominal value of ICULS on the basis of RM1.00 nominal amount of ICULS for</t>
  </si>
  <si>
    <t>every 8 Dijaya shares held after proposals (b) above.</t>
  </si>
  <si>
    <t>There are no off balance sheet risks as at the date of this report that may materially affect the financial position</t>
  </si>
  <si>
    <t>or business of the Group.</t>
  </si>
  <si>
    <t>There are no material litigation other than the following:-</t>
  </si>
  <si>
    <t>A suit was filed on 5 April 1999 in the High Court of Kuala Lumpur by Dijaya Wangsa Sdn Bhd against</t>
  </si>
  <si>
    <t>Setapak Heights Development Sdn Bhd for the recovery of RM5,540,000 being deposit paid pursuant to a</t>
  </si>
  <si>
    <t xml:space="preserve">sale and purchase agreement which has been rescinded. </t>
  </si>
  <si>
    <t>recovery of RM5,000,000 being deposit paid pursuant to the sale and purchase agreements which have</t>
  </si>
  <si>
    <t>transferred to High Court of Penang and is pending hearing.</t>
  </si>
  <si>
    <t>been rescinded (together with estimated expenses amounting to RM472,000). The case has since been</t>
  </si>
  <si>
    <t>The Group recorded a profit before tax and minority interest of RM35.2 million for the current quarter ended 31</t>
  </si>
  <si>
    <t>December 1999 compared to a loss of RM114.5 million in the preceding quarter ended 30 September 1999. This</t>
  </si>
  <si>
    <t>is due to reversal of losses in an associated company which were recognised in the preceding quarter, pursuant</t>
  </si>
  <si>
    <t>to a change in the accounting policy as disclosed in Note 1 above.</t>
  </si>
  <si>
    <t>The Group's operating profit for the year ended 1999 showed a remarkable improvement in comparison to 1998</t>
  </si>
  <si>
    <t>with profit rising by 202% from RM11.5 million to RM23.2 million. Group turnover also recorded an increase</t>
  </si>
  <si>
    <t>from RM94.6 million to RM167.4 million compared to the previous year. The improved operating results of the</t>
  </si>
  <si>
    <t>Group for 1999 reflects the nation's economic recovery process and the higher earnings is attributed mainly to</t>
  </si>
  <si>
    <t>However, exceptional items totaling RM90.8 million and Group's share of net losses in associated companies of</t>
  </si>
  <si>
    <t>RM5.2 million resulted in a Group loss attributable to its shareholders of RM98.5 million.</t>
  </si>
  <si>
    <t>better contributions from the Group' property development business.</t>
  </si>
  <si>
    <t>Barring any unforeseen circumstances, the prospect for the Group for the next financial year is expected to</t>
  </si>
  <si>
    <t>show moderate improvement as the business environment continues to be challenging especially for its property</t>
  </si>
  <si>
    <t>The Board does not recommend any dividend for the financial year ended 31 December 1999.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</si>
</sst>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79" fontId="5" fillId="0" borderId="0" xfId="15" applyNumberFormat="1" applyFont="1" applyAlignment="1">
      <alignment horizontal="center"/>
    </xf>
    <xf numFmtId="179" fontId="5" fillId="0" borderId="0" xfId="15" applyNumberFormat="1" applyFont="1" applyAlignment="1">
      <alignment/>
    </xf>
    <xf numFmtId="179" fontId="5" fillId="0" borderId="2" xfId="15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9" fontId="9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0" fontId="8" fillId="0" borderId="0" xfId="0" applyFont="1" applyAlignment="1">
      <alignment horizontal="left" indent="2"/>
    </xf>
    <xf numFmtId="179" fontId="8" fillId="0" borderId="3" xfId="15" applyNumberFormat="1" applyFont="1" applyBorder="1" applyAlignment="1">
      <alignment/>
    </xf>
    <xf numFmtId="179" fontId="8" fillId="0" borderId="4" xfId="15" applyNumberFormat="1" applyFont="1" applyBorder="1" applyAlignment="1">
      <alignment/>
    </xf>
    <xf numFmtId="179" fontId="8" fillId="0" borderId="5" xfId="15" applyNumberFormat="1" applyFont="1" applyBorder="1" applyAlignment="1">
      <alignment/>
    </xf>
    <xf numFmtId="179" fontId="8" fillId="0" borderId="6" xfId="15" applyNumberFormat="1" applyFont="1" applyBorder="1" applyAlignment="1">
      <alignment/>
    </xf>
    <xf numFmtId="0" fontId="8" fillId="0" borderId="0" xfId="0" applyFont="1" applyAlignment="1">
      <alignment/>
    </xf>
    <xf numFmtId="179" fontId="8" fillId="0" borderId="7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0" fontId="5" fillId="0" borderId="0" xfId="0" applyFont="1" applyAlignment="1">
      <alignment horizontal="left"/>
    </xf>
    <xf numFmtId="179" fontId="5" fillId="0" borderId="0" xfId="15" applyNumberFormat="1" applyFont="1" applyBorder="1" applyAlignment="1">
      <alignment/>
    </xf>
    <xf numFmtId="179" fontId="5" fillId="0" borderId="8" xfId="15" applyNumberFormat="1" applyFont="1" applyBorder="1" applyAlignment="1">
      <alignment/>
    </xf>
    <xf numFmtId="179" fontId="5" fillId="0" borderId="7" xfId="15" applyNumberFormat="1" applyFont="1" applyBorder="1" applyAlignment="1">
      <alignment/>
    </xf>
    <xf numFmtId="179" fontId="5" fillId="0" borderId="9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179" fontId="5" fillId="0" borderId="3" xfId="15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179" fontId="5" fillId="0" borderId="5" xfId="15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179" fontId="5" fillId="0" borderId="12" xfId="15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9" fillId="0" borderId="1" xfId="15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horizontal="left" indent="1"/>
    </xf>
    <xf numFmtId="14" fontId="7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79" fontId="5" fillId="0" borderId="1" xfId="15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9" fontId="5" fillId="0" borderId="2" xfId="15" applyNumberFormat="1" applyFont="1" applyBorder="1" applyAlignment="1">
      <alignment horizontal="center"/>
    </xf>
    <xf numFmtId="179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9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workbookViewId="0" topLeftCell="E9">
      <selection activeCell="F21" sqref="F21"/>
    </sheetView>
  </sheetViews>
  <sheetFormatPr defaultColWidth="9.140625" defaultRowHeight="12.75"/>
  <cols>
    <col min="1" max="1" width="9.140625" style="12" customWidth="1"/>
    <col min="2" max="3" width="2.7109375" style="12" customWidth="1"/>
    <col min="4" max="4" width="60.7109375" style="12" customWidth="1"/>
    <col min="5" max="7" width="10.7109375" style="12" customWidth="1"/>
    <col min="8" max="16384" width="7.8515625" style="12" customWidth="1"/>
  </cols>
  <sheetData>
    <row r="2" ht="18.75">
      <c r="B2" s="48" t="s">
        <v>146</v>
      </c>
    </row>
    <row r="3" ht="15">
      <c r="B3" s="47" t="s">
        <v>145</v>
      </c>
    </row>
    <row r="4" ht="15">
      <c r="B4" s="47"/>
    </row>
    <row r="5" ht="15">
      <c r="B5" s="3" t="s">
        <v>167</v>
      </c>
    </row>
    <row r="6" spans="2:7" ht="15">
      <c r="B6" s="4" t="s">
        <v>156</v>
      </c>
      <c r="C6" s="13"/>
      <c r="D6" s="13"/>
      <c r="E6" s="13"/>
      <c r="F6" s="13"/>
      <c r="G6" s="13"/>
    </row>
    <row r="7" spans="2:3" ht="15">
      <c r="B7" s="14" t="s">
        <v>0</v>
      </c>
      <c r="C7" s="14"/>
    </row>
    <row r="9" ht="15">
      <c r="B9" s="3" t="s">
        <v>1</v>
      </c>
    </row>
    <row r="10" ht="15">
      <c r="B10" s="3"/>
    </row>
    <row r="11" spans="5:7" ht="15">
      <c r="E11" s="15" t="s">
        <v>2</v>
      </c>
      <c r="F11" s="15" t="s">
        <v>3</v>
      </c>
      <c r="G11" s="15" t="s">
        <v>3</v>
      </c>
    </row>
    <row r="12" spans="5:7" ht="15">
      <c r="E12" s="15" t="s">
        <v>4</v>
      </c>
      <c r="F12" s="15" t="s">
        <v>5</v>
      </c>
      <c r="G12" s="15" t="s">
        <v>5</v>
      </c>
    </row>
    <row r="13" spans="5:7" ht="15">
      <c r="E13" s="55" t="s">
        <v>153</v>
      </c>
      <c r="F13" s="55" t="s">
        <v>153</v>
      </c>
      <c r="G13" s="55" t="s">
        <v>154</v>
      </c>
    </row>
    <row r="14" spans="5:7" ht="15">
      <c r="E14" s="15" t="s">
        <v>6</v>
      </c>
      <c r="F14" s="15" t="s">
        <v>6</v>
      </c>
      <c r="G14" s="15" t="s">
        <v>6</v>
      </c>
    </row>
    <row r="15" spans="5:6" ht="15">
      <c r="E15" s="16"/>
      <c r="F15" s="16"/>
    </row>
    <row r="16" spans="2:7" ht="15">
      <c r="B16" s="53" t="s">
        <v>7</v>
      </c>
      <c r="C16" s="12" t="s">
        <v>8</v>
      </c>
      <c r="D16" s="12" t="s">
        <v>9</v>
      </c>
      <c r="E16" s="33">
        <f>F16-116064</f>
        <v>51288</v>
      </c>
      <c r="F16" s="33">
        <v>167352</v>
      </c>
      <c r="G16" s="33">
        <f>203043-108420</f>
        <v>94623</v>
      </c>
    </row>
    <row r="17" spans="3:7" ht="15">
      <c r="C17" s="12" t="s">
        <v>10</v>
      </c>
      <c r="D17" s="12" t="s">
        <v>11</v>
      </c>
      <c r="E17" s="33">
        <f>F17-436</f>
        <v>1357</v>
      </c>
      <c r="F17" s="33">
        <f>1104+248+441</f>
        <v>1793</v>
      </c>
      <c r="G17" s="33">
        <v>248</v>
      </c>
    </row>
    <row r="18" spans="3:7" ht="15.75" thickBot="1">
      <c r="C18" s="12" t="s">
        <v>12</v>
      </c>
      <c r="D18" s="12" t="s">
        <v>13</v>
      </c>
      <c r="E18" s="34">
        <f>F18-8059</f>
        <v>-2066</v>
      </c>
      <c r="F18" s="34">
        <f>3938+2055</f>
        <v>5993</v>
      </c>
      <c r="G18" s="34">
        <v>5162</v>
      </c>
    </row>
    <row r="19" spans="5:7" ht="15">
      <c r="E19" s="33"/>
      <c r="F19" s="33"/>
      <c r="G19" s="33"/>
    </row>
    <row r="20" spans="2:7" ht="15">
      <c r="B20" s="53" t="s">
        <v>14</v>
      </c>
      <c r="C20" s="12" t="s">
        <v>8</v>
      </c>
      <c r="D20" s="12" t="s">
        <v>15</v>
      </c>
      <c r="E20" s="33"/>
      <c r="F20" s="33"/>
      <c r="G20" s="33"/>
    </row>
    <row r="21" spans="4:7" ht="15">
      <c r="D21" s="54" t="s">
        <v>16</v>
      </c>
      <c r="E21" s="33"/>
      <c r="F21" s="33"/>
      <c r="G21" s="33"/>
    </row>
    <row r="22" spans="4:7" ht="15">
      <c r="D22" s="54" t="s">
        <v>17</v>
      </c>
      <c r="E22" s="33">
        <f>F22-24185</f>
        <v>-980</v>
      </c>
      <c r="F22" s="33">
        <f>30204-793-6206</f>
        <v>23205</v>
      </c>
      <c r="G22" s="33">
        <f>36124-24581</f>
        <v>11543</v>
      </c>
    </row>
    <row r="23" spans="3:7" ht="15">
      <c r="C23" s="12" t="s">
        <v>10</v>
      </c>
      <c r="D23" s="12" t="s">
        <v>18</v>
      </c>
      <c r="E23" s="33">
        <f>F23+14370</f>
        <v>-270</v>
      </c>
      <c r="F23" s="33">
        <v>-14640</v>
      </c>
      <c r="G23" s="33">
        <f>-27251-1951-5768</f>
        <v>-34970</v>
      </c>
    </row>
    <row r="24" spans="3:7" ht="15">
      <c r="C24" s="12" t="s">
        <v>12</v>
      </c>
      <c r="D24" s="12" t="s">
        <v>19</v>
      </c>
      <c r="E24" s="33">
        <f>F24+4809</f>
        <v>-5077</v>
      </c>
      <c r="F24" s="33">
        <v>-9886</v>
      </c>
      <c r="G24" s="33">
        <v>-8539</v>
      </c>
    </row>
    <row r="25" spans="3:7" ht="15">
      <c r="C25" s="12" t="s">
        <v>20</v>
      </c>
      <c r="D25" s="12" t="s">
        <v>21</v>
      </c>
      <c r="E25" s="33">
        <f>F25+93497</f>
        <v>2699</v>
      </c>
      <c r="F25" s="33">
        <f>-60206-30592</f>
        <v>-90798</v>
      </c>
      <c r="G25" s="57">
        <v>-24581</v>
      </c>
    </row>
    <row r="26" spans="3:7" ht="23.25" customHeight="1">
      <c r="C26" s="12" t="s">
        <v>22</v>
      </c>
      <c r="D26" s="12" t="s">
        <v>23</v>
      </c>
      <c r="E26" s="35">
        <f>SUM(E22:E25)</f>
        <v>-3628</v>
      </c>
      <c r="F26" s="35">
        <f>SUM(F22:F25)</f>
        <v>-92119</v>
      </c>
      <c r="G26" s="33">
        <f>SUM(G22:G25)</f>
        <v>-56547</v>
      </c>
    </row>
    <row r="27" spans="4:7" ht="15">
      <c r="D27" s="54" t="s">
        <v>24</v>
      </c>
      <c r="E27" s="33"/>
      <c r="F27" s="33"/>
      <c r="G27" s="33"/>
    </row>
    <row r="28" spans="4:7" ht="15">
      <c r="D28" s="54" t="s">
        <v>17</v>
      </c>
      <c r="E28" s="33"/>
      <c r="F28" s="33"/>
      <c r="G28" s="33"/>
    </row>
    <row r="29" spans="3:7" ht="15">
      <c r="C29" s="12" t="s">
        <v>25</v>
      </c>
      <c r="D29" s="12" t="s">
        <v>26</v>
      </c>
      <c r="E29" s="33">
        <f>F29+44054</f>
        <v>38838</v>
      </c>
      <c r="F29" s="33">
        <f>-35808+30592</f>
        <v>-5216</v>
      </c>
      <c r="G29" s="57">
        <v>-6146</v>
      </c>
    </row>
    <row r="30" spans="3:7" ht="23.25" customHeight="1">
      <c r="C30" s="12" t="s">
        <v>27</v>
      </c>
      <c r="D30" s="12" t="s">
        <v>28</v>
      </c>
      <c r="E30" s="35">
        <f>SUM(E26:E29)</f>
        <v>35210</v>
      </c>
      <c r="F30" s="35">
        <f>SUM(F26:F29)</f>
        <v>-97335</v>
      </c>
      <c r="G30" s="33">
        <f>SUM(G26:G29)</f>
        <v>-62693</v>
      </c>
    </row>
    <row r="31" spans="3:7" ht="15">
      <c r="C31" s="12" t="s">
        <v>29</v>
      </c>
      <c r="D31" s="12" t="s">
        <v>30</v>
      </c>
      <c r="E31" s="33">
        <f>F31-0</f>
        <v>4565</v>
      </c>
      <c r="F31" s="33">
        <f>-2434+793+6206</f>
        <v>4565</v>
      </c>
      <c r="G31" s="57">
        <v>-4627</v>
      </c>
    </row>
    <row r="32" spans="3:7" ht="23.25" customHeight="1">
      <c r="C32" s="12" t="s">
        <v>31</v>
      </c>
      <c r="D32" s="12" t="s">
        <v>32</v>
      </c>
      <c r="E32" s="35">
        <f>SUM(E30:E31)</f>
        <v>39775</v>
      </c>
      <c r="F32" s="35">
        <f>SUM(F30:F31)</f>
        <v>-92770</v>
      </c>
      <c r="G32" s="33">
        <f>SUM(G30:G31)</f>
        <v>-67320</v>
      </c>
    </row>
    <row r="33" spans="4:7" ht="15">
      <c r="D33" s="12" t="s">
        <v>33</v>
      </c>
      <c r="E33" s="33">
        <f>F33+1571</f>
        <v>-4114</v>
      </c>
      <c r="F33" s="33">
        <v>-5685</v>
      </c>
      <c r="G33" s="57">
        <v>3242</v>
      </c>
    </row>
    <row r="34" spans="3:7" ht="23.25" customHeight="1">
      <c r="C34" s="12" t="s">
        <v>34</v>
      </c>
      <c r="D34" s="12" t="s">
        <v>35</v>
      </c>
      <c r="E34" s="35">
        <f>SUM(E32:E33)</f>
        <v>35661</v>
      </c>
      <c r="F34" s="35">
        <f>SUM(F32:F33)</f>
        <v>-98455</v>
      </c>
      <c r="G34" s="35">
        <f>SUM(G32:G33)</f>
        <v>-64078</v>
      </c>
    </row>
    <row r="35" spans="3:7" ht="15">
      <c r="C35" s="12" t="s">
        <v>36</v>
      </c>
      <c r="D35" s="12" t="s">
        <v>37</v>
      </c>
      <c r="E35" s="33">
        <v>0</v>
      </c>
      <c r="F35" s="33">
        <v>0</v>
      </c>
      <c r="G35" s="57">
        <v>0</v>
      </c>
    </row>
    <row r="36" spans="3:7" ht="23.25" customHeight="1" thickBot="1">
      <c r="C36" s="12" t="s">
        <v>38</v>
      </c>
      <c r="D36" s="12" t="s">
        <v>39</v>
      </c>
      <c r="E36" s="36">
        <f>SUM(E34:E35)</f>
        <v>35661</v>
      </c>
      <c r="F36" s="36">
        <f>SUM(F34:F35)</f>
        <v>-98455</v>
      </c>
      <c r="G36" s="36">
        <f>SUM(G34:G35)</f>
        <v>-64078</v>
      </c>
    </row>
    <row r="37" ht="15">
      <c r="F37" s="58"/>
    </row>
    <row r="38" spans="2:4" ht="15">
      <c r="B38" s="53" t="s">
        <v>40</v>
      </c>
      <c r="C38" s="12" t="s">
        <v>8</v>
      </c>
      <c r="D38" s="12" t="s">
        <v>41</v>
      </c>
    </row>
    <row r="39" spans="4:7" ht="15">
      <c r="D39" s="12" t="s">
        <v>42</v>
      </c>
      <c r="E39" s="59">
        <f>E36/214163*100</f>
        <v>16.65133566489076</v>
      </c>
      <c r="F39" s="59">
        <f>F36/259503*100</f>
        <v>-37.939831138753696</v>
      </c>
      <c r="G39" s="59">
        <v>-30</v>
      </c>
    </row>
    <row r="40" spans="4:7" ht="15">
      <c r="D40" s="12" t="s">
        <v>150</v>
      </c>
      <c r="E40" s="60" t="s">
        <v>151</v>
      </c>
      <c r="F40" s="60" t="s">
        <v>151</v>
      </c>
      <c r="G40" s="60" t="s">
        <v>151</v>
      </c>
    </row>
    <row r="41" spans="5:7" ht="15">
      <c r="E41" s="60"/>
      <c r="F41" s="60"/>
      <c r="G41" s="60"/>
    </row>
    <row r="42" spans="5:7" ht="15">
      <c r="E42" s="60"/>
      <c r="F42" s="60"/>
      <c r="G42" s="60"/>
    </row>
    <row r="43" spans="2:7" ht="15">
      <c r="B43" s="14" t="s">
        <v>152</v>
      </c>
      <c r="C43" s="14"/>
      <c r="D43" s="14" t="s">
        <v>193</v>
      </c>
      <c r="E43" s="60"/>
      <c r="F43" s="60"/>
      <c r="G43" s="60"/>
    </row>
    <row r="44" spans="2:7" ht="15">
      <c r="B44" s="14"/>
      <c r="C44" s="14"/>
      <c r="D44" s="14" t="s">
        <v>194</v>
      </c>
      <c r="E44" s="60"/>
      <c r="F44" s="60"/>
      <c r="G44" s="60"/>
    </row>
    <row r="45" spans="5:7" ht="15">
      <c r="E45" s="60"/>
      <c r="F45" s="60"/>
      <c r="G45" s="60"/>
    </row>
    <row r="46" spans="2:4" ht="15">
      <c r="B46" s="17"/>
      <c r="C46" s="17"/>
      <c r="D46" s="17"/>
    </row>
    <row r="47" spans="5:6" ht="15">
      <c r="E47" s="14"/>
      <c r="F47" s="14"/>
    </row>
    <row r="48" spans="5:6" ht="15">
      <c r="E48" s="14"/>
      <c r="F48" s="14"/>
    </row>
    <row r="49" spans="2:4" ht="15">
      <c r="B49" s="17"/>
      <c r="C49" s="17"/>
      <c r="D49" s="17"/>
    </row>
    <row r="50" spans="2:4" ht="15">
      <c r="B50" s="17"/>
      <c r="C50" s="17"/>
      <c r="D50" s="17"/>
    </row>
    <row r="51" spans="2:4" ht="15">
      <c r="B51" s="17"/>
      <c r="C51" s="17"/>
      <c r="D51" s="17"/>
    </row>
    <row r="52" spans="2:4" ht="15">
      <c r="B52" s="17"/>
      <c r="C52" s="17"/>
      <c r="D52" s="17"/>
    </row>
    <row r="53" spans="2:4" ht="15">
      <c r="B53" s="17"/>
      <c r="C53" s="17"/>
      <c r="D53" s="17"/>
    </row>
    <row r="54" spans="2:4" ht="15">
      <c r="B54" s="17"/>
      <c r="C54" s="17"/>
      <c r="D54" s="17"/>
    </row>
    <row r="55" spans="2:4" ht="15">
      <c r="B55" s="17"/>
      <c r="C55" s="17"/>
      <c r="D55" s="17"/>
    </row>
    <row r="56" spans="2:4" ht="15">
      <c r="B56" s="17"/>
      <c r="C56" s="17"/>
      <c r="D56" s="17"/>
    </row>
    <row r="57" spans="2:4" ht="15">
      <c r="B57" s="17"/>
      <c r="C57" s="17"/>
      <c r="D57" s="17"/>
    </row>
  </sheetData>
  <printOptions horizontalCentered="1"/>
  <pageMargins left="0.37" right="0.45" top="0.57" bottom="0.5" header="0" footer="0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1"/>
  <sheetViews>
    <sheetView workbookViewId="0" topLeftCell="C3">
      <selection activeCell="E17" sqref="E17"/>
    </sheetView>
  </sheetViews>
  <sheetFormatPr defaultColWidth="9.140625" defaultRowHeight="12.75"/>
  <cols>
    <col min="1" max="1" width="9.140625" style="18" customWidth="1"/>
    <col min="2" max="2" width="62.7109375" style="18" customWidth="1"/>
    <col min="3" max="3" width="12.7109375" style="18" customWidth="1"/>
    <col min="4" max="4" width="2.7109375" style="18" customWidth="1"/>
    <col min="5" max="5" width="12.7109375" style="18" customWidth="1"/>
    <col min="6" max="16384" width="9.140625" style="18" customWidth="1"/>
  </cols>
  <sheetData>
    <row r="2" spans="2:6" ht="18.75">
      <c r="B2" s="48" t="s">
        <v>146</v>
      </c>
      <c r="C2" s="12"/>
      <c r="D2" s="12"/>
      <c r="E2" s="12"/>
      <c r="F2" s="12"/>
    </row>
    <row r="3" spans="2:6" ht="15">
      <c r="B3" s="47" t="s">
        <v>145</v>
      </c>
      <c r="C3" s="12"/>
      <c r="D3" s="12"/>
      <c r="E3" s="12"/>
      <c r="F3" s="12"/>
    </row>
    <row r="4" spans="2:6" ht="15">
      <c r="B4" s="47"/>
      <c r="C4" s="12"/>
      <c r="D4" s="12"/>
      <c r="E4" s="12"/>
      <c r="F4" s="12"/>
    </row>
    <row r="5" spans="2:6" ht="15">
      <c r="B5" s="3" t="s">
        <v>167</v>
      </c>
      <c r="C5" s="12"/>
      <c r="D5" s="12"/>
      <c r="E5" s="12"/>
      <c r="F5" s="12"/>
    </row>
    <row r="6" spans="2:6" ht="15">
      <c r="B6" s="4" t="s">
        <v>156</v>
      </c>
      <c r="C6" s="13"/>
      <c r="D6" s="13"/>
      <c r="E6" s="13"/>
      <c r="F6" s="12"/>
    </row>
    <row r="7" spans="2:6" ht="15">
      <c r="B7" s="14" t="s">
        <v>0</v>
      </c>
      <c r="C7" s="14"/>
      <c r="D7" s="12"/>
      <c r="E7" s="12"/>
      <c r="F7" s="12"/>
    </row>
    <row r="8" ht="15">
      <c r="B8" s="2"/>
    </row>
    <row r="9" ht="14.25">
      <c r="B9" s="1" t="s">
        <v>88</v>
      </c>
    </row>
    <row r="10" ht="14.25">
      <c r="B10" s="1"/>
    </row>
    <row r="11" spans="3:5" ht="12.75">
      <c r="C11" s="19" t="s">
        <v>43</v>
      </c>
      <c r="E11" s="19" t="s">
        <v>43</v>
      </c>
    </row>
    <row r="12" spans="3:5" ht="12.75">
      <c r="C12" s="19" t="s">
        <v>48</v>
      </c>
      <c r="E12" s="19" t="s">
        <v>44</v>
      </c>
    </row>
    <row r="13" spans="3:5" ht="12.75">
      <c r="C13" s="19" t="s">
        <v>47</v>
      </c>
      <c r="E13" s="19" t="s">
        <v>45</v>
      </c>
    </row>
    <row r="14" spans="3:5" ht="12.75">
      <c r="C14" s="19" t="s">
        <v>155</v>
      </c>
      <c r="E14" s="19" t="s">
        <v>46</v>
      </c>
    </row>
    <row r="15" spans="3:5" ht="12.75">
      <c r="C15" s="20" t="s">
        <v>153</v>
      </c>
      <c r="E15" s="56" t="s">
        <v>154</v>
      </c>
    </row>
    <row r="16" spans="3:5" ht="12.75">
      <c r="C16" s="19" t="s">
        <v>6</v>
      </c>
      <c r="E16" s="19" t="s">
        <v>6</v>
      </c>
    </row>
    <row r="18" spans="2:5" ht="12.75">
      <c r="B18" s="21" t="s">
        <v>49</v>
      </c>
      <c r="C18" s="22">
        <f>279023438/1000</f>
        <v>279023.438</v>
      </c>
      <c r="D18" s="23"/>
      <c r="E18" s="22">
        <f>305101976/1000</f>
        <v>305101.976</v>
      </c>
    </row>
    <row r="19" spans="2:5" ht="12.75">
      <c r="B19" s="21" t="s">
        <v>50</v>
      </c>
      <c r="C19" s="22">
        <f>72005414/1000</f>
        <v>72005.414</v>
      </c>
      <c r="D19" s="23"/>
      <c r="E19" s="22">
        <f>133049248/1000</f>
        <v>133049.248</v>
      </c>
    </row>
    <row r="20" spans="2:5" ht="12.75">
      <c r="B20" s="21" t="s">
        <v>51</v>
      </c>
      <c r="C20" s="22">
        <f>179794686/1000</f>
        <v>179794.686</v>
      </c>
      <c r="D20" s="23"/>
      <c r="E20" s="22">
        <f>181942949/1000</f>
        <v>181942.949</v>
      </c>
    </row>
    <row r="21" spans="2:5" ht="12.75">
      <c r="B21" s="21" t="s">
        <v>52</v>
      </c>
      <c r="C21" s="22">
        <f>(701621782-649221837)/1000</f>
        <v>52399.945</v>
      </c>
      <c r="D21" s="23"/>
      <c r="E21" s="22">
        <f>52202948/1000</f>
        <v>52202.948</v>
      </c>
    </row>
    <row r="22" spans="2:5" ht="12.75">
      <c r="B22" s="21" t="s">
        <v>53</v>
      </c>
      <c r="C22" s="22">
        <f>635026/1000</f>
        <v>635.026</v>
      </c>
      <c r="D22" s="23"/>
      <c r="E22" s="22">
        <f>635026/1000</f>
        <v>635.026</v>
      </c>
    </row>
    <row r="23" spans="2:5" ht="12.75">
      <c r="B23" s="21" t="s">
        <v>54</v>
      </c>
      <c r="C23" s="22">
        <f>14703131/1000</f>
        <v>14703.131</v>
      </c>
      <c r="D23" s="23"/>
      <c r="E23" s="22">
        <f>14093367/1000</f>
        <v>14093.367</v>
      </c>
    </row>
    <row r="24" spans="2:5" ht="12.75">
      <c r="B24" s="21" t="s">
        <v>55</v>
      </c>
      <c r="C24" s="22">
        <v>0</v>
      </c>
      <c r="D24" s="23"/>
      <c r="E24" s="22">
        <f>38445/1000</f>
        <v>38.445</v>
      </c>
    </row>
    <row r="25" spans="3:5" ht="12.75">
      <c r="C25" s="23"/>
      <c r="D25" s="23"/>
      <c r="E25" s="23"/>
    </row>
    <row r="26" spans="2:5" ht="12.75">
      <c r="B26" s="21" t="s">
        <v>56</v>
      </c>
      <c r="C26" s="23"/>
      <c r="D26" s="23"/>
      <c r="E26" s="23"/>
    </row>
    <row r="27" spans="2:5" ht="12.75">
      <c r="B27" s="24" t="s">
        <v>57</v>
      </c>
      <c r="C27" s="25">
        <f>21228430/1000</f>
        <v>21228.43</v>
      </c>
      <c r="D27" s="23"/>
      <c r="E27" s="25">
        <f>36896796/1000</f>
        <v>36896.796</v>
      </c>
    </row>
    <row r="28" spans="2:5" ht="12.75">
      <c r="B28" s="24" t="s">
        <v>62</v>
      </c>
      <c r="C28" s="26">
        <f>(2918459+649221837)/1000</f>
        <v>652140.296</v>
      </c>
      <c r="D28" s="23"/>
      <c r="E28" s="26">
        <f>660181005/1000</f>
        <v>660181.005</v>
      </c>
    </row>
    <row r="29" spans="2:5" ht="12.75">
      <c r="B29" s="24" t="s">
        <v>61</v>
      </c>
      <c r="C29" s="26">
        <f>66269771/1000</f>
        <v>66269.771</v>
      </c>
      <c r="D29" s="23"/>
      <c r="E29" s="26">
        <f>45174040/1000</f>
        <v>45174.04</v>
      </c>
    </row>
    <row r="30" spans="2:5" ht="12.75">
      <c r="B30" s="24" t="s">
        <v>58</v>
      </c>
      <c r="C30" s="26">
        <f>(15181892+276042)/1000</f>
        <v>15457.934</v>
      </c>
      <c r="D30" s="23"/>
      <c r="E30" s="26">
        <f>39485226/1000</f>
        <v>39485.226</v>
      </c>
    </row>
    <row r="31" spans="2:5" ht="12.75">
      <c r="B31" s="24" t="s">
        <v>63</v>
      </c>
      <c r="C31" s="26">
        <f>(10382682-10287459)/1000</f>
        <v>95.223</v>
      </c>
      <c r="D31" s="23"/>
      <c r="E31" s="26">
        <f>16309136/1000</f>
        <v>16309.136</v>
      </c>
    </row>
    <row r="32" spans="2:5" ht="12.75">
      <c r="B32" s="24" t="s">
        <v>59</v>
      </c>
      <c r="C32" s="26">
        <f>1760739/1000</f>
        <v>1760.739</v>
      </c>
      <c r="D32" s="23"/>
      <c r="E32" s="26">
        <f>4044637/1000</f>
        <v>4044.637</v>
      </c>
    </row>
    <row r="33" spans="2:5" ht="12.75">
      <c r="B33" s="24" t="s">
        <v>60</v>
      </c>
      <c r="C33" s="26">
        <f>18425325/1000</f>
        <v>18425.325</v>
      </c>
      <c r="D33" s="23"/>
      <c r="E33" s="26">
        <f>18418105/1000</f>
        <v>18418.105</v>
      </c>
    </row>
    <row r="34" spans="3:5" ht="12.75" customHeight="1">
      <c r="C34" s="27">
        <f>SUM(C27:C33)</f>
        <v>775377.7179999999</v>
      </c>
      <c r="D34" s="23"/>
      <c r="E34" s="27">
        <f>SUM(E27:E33)</f>
        <v>820508.9450000001</v>
      </c>
    </row>
    <row r="35" spans="3:5" ht="12" customHeight="1">
      <c r="C35" s="26"/>
      <c r="D35" s="23"/>
      <c r="E35" s="26"/>
    </row>
    <row r="36" spans="2:5" ht="12.75">
      <c r="B36" s="21" t="s">
        <v>64</v>
      </c>
      <c r="C36" s="26"/>
      <c r="D36" s="23"/>
      <c r="E36" s="26"/>
    </row>
    <row r="37" spans="2:5" ht="12.75">
      <c r="B37" s="24" t="s">
        <v>65</v>
      </c>
      <c r="C37" s="26">
        <f>20898894/1000</f>
        <v>20898.894</v>
      </c>
      <c r="D37" s="23"/>
      <c r="E37" s="26">
        <f>15795747/1000</f>
        <v>15795.747</v>
      </c>
    </row>
    <row r="38" spans="2:5" ht="12.75">
      <c r="B38" s="24" t="s">
        <v>66</v>
      </c>
      <c r="C38" s="26">
        <f>(97644950+4240435+4406102+24159200)/1000</f>
        <v>130450.687</v>
      </c>
      <c r="D38" s="23"/>
      <c r="E38" s="26">
        <f>157733632/1000</f>
        <v>157733.632</v>
      </c>
    </row>
    <row r="39" spans="2:5" ht="12.75">
      <c r="B39" s="24" t="s">
        <v>67</v>
      </c>
      <c r="C39" s="26">
        <f>2156272/1000</f>
        <v>2156.272</v>
      </c>
      <c r="D39" s="23"/>
      <c r="E39" s="26">
        <f>1505141/1000</f>
        <v>1505.141</v>
      </c>
    </row>
    <row r="40" spans="2:5" ht="12.75">
      <c r="B40" s="24" t="s">
        <v>68</v>
      </c>
      <c r="C40" s="26">
        <f>(56931922+45000000+62150000)/1000</f>
        <v>164081.922</v>
      </c>
      <c r="D40" s="23"/>
      <c r="E40" s="26">
        <f>172852295/1000</f>
        <v>172852.295</v>
      </c>
    </row>
    <row r="41" spans="2:5" ht="12.75">
      <c r="B41" s="24" t="s">
        <v>69</v>
      </c>
      <c r="C41" s="26">
        <f>106298139/1000</f>
        <v>106298.139</v>
      </c>
      <c r="D41" s="23"/>
      <c r="E41" s="26">
        <f>109107018/1000</f>
        <v>109107.018</v>
      </c>
    </row>
    <row r="42" spans="2:5" ht="12.75">
      <c r="B42" s="24" t="s">
        <v>70</v>
      </c>
      <c r="C42" s="26">
        <f>260266/1000</f>
        <v>260.266</v>
      </c>
      <c r="D42" s="23"/>
      <c r="E42" s="26">
        <f>1028409/1000</f>
        <v>1028.409</v>
      </c>
    </row>
    <row r="43" spans="2:5" ht="12.75">
      <c r="B43" s="24" t="s">
        <v>72</v>
      </c>
      <c r="C43" s="26">
        <f>23387574/1000</f>
        <v>23387.574</v>
      </c>
      <c r="D43" s="23"/>
      <c r="E43" s="26">
        <f>23618333/1000</f>
        <v>23618.333</v>
      </c>
    </row>
    <row r="44" spans="2:5" ht="12.75">
      <c r="B44" s="24" t="s">
        <v>71</v>
      </c>
      <c r="C44" s="26">
        <f>4189733/1000</f>
        <v>4189.733</v>
      </c>
      <c r="D44" s="23"/>
      <c r="E44" s="26">
        <f>14036781/1000</f>
        <v>14036.781</v>
      </c>
    </row>
    <row r="45" spans="3:5" ht="12.75">
      <c r="C45" s="27">
        <f>SUM(C37:C44)</f>
        <v>451723.487</v>
      </c>
      <c r="D45" s="23"/>
      <c r="E45" s="27">
        <f>SUM(E37:E44)</f>
        <v>495677.356</v>
      </c>
    </row>
    <row r="46" spans="2:5" ht="23.25" customHeight="1">
      <c r="B46" s="21" t="s">
        <v>73</v>
      </c>
      <c r="C46" s="23">
        <f>C34-C45</f>
        <v>323654.23099999985</v>
      </c>
      <c r="D46" s="23"/>
      <c r="E46" s="23">
        <f>E34-E45</f>
        <v>324831.58900000004</v>
      </c>
    </row>
    <row r="47" spans="3:5" ht="23.25" customHeight="1" thickBot="1">
      <c r="C47" s="28">
        <f>SUM(C18:C24)+C46</f>
        <v>922215.8709999998</v>
      </c>
      <c r="D47" s="23"/>
      <c r="E47" s="28">
        <f>SUM(E18:E24)+E46</f>
        <v>1011895.548</v>
      </c>
    </row>
    <row r="48" spans="3:5" ht="13.5" thickTop="1">
      <c r="C48" s="23"/>
      <c r="D48" s="23"/>
      <c r="E48" s="23"/>
    </row>
    <row r="49" spans="3:5" ht="12.75">
      <c r="C49" s="23"/>
      <c r="D49" s="23"/>
      <c r="E49" s="23"/>
    </row>
    <row r="50" spans="2:5" ht="12.75">
      <c r="B50" s="21" t="s">
        <v>74</v>
      </c>
      <c r="C50" s="23"/>
      <c r="D50" s="23"/>
      <c r="E50" s="23"/>
    </row>
    <row r="51" spans="2:5" ht="12.75">
      <c r="B51" s="29" t="s">
        <v>75</v>
      </c>
      <c r="C51" s="23">
        <f>259502583/1000</f>
        <v>259502.583</v>
      </c>
      <c r="D51" s="23"/>
      <c r="E51" s="23">
        <f>259502583/1000</f>
        <v>259502.583</v>
      </c>
    </row>
    <row r="52" spans="2:5" ht="12.75">
      <c r="B52" s="29" t="s">
        <v>76</v>
      </c>
      <c r="C52" s="23"/>
      <c r="D52" s="23"/>
      <c r="E52" s="23"/>
    </row>
    <row r="53" spans="2:5" ht="12.75">
      <c r="B53" s="24" t="s">
        <v>77</v>
      </c>
      <c r="C53" s="23">
        <f>402653291/1000</f>
        <v>402653.291</v>
      </c>
      <c r="D53" s="23"/>
      <c r="E53" s="23">
        <f>402653291/1000</f>
        <v>402653.291</v>
      </c>
    </row>
    <row r="54" spans="2:5" ht="12.75">
      <c r="B54" s="24" t="s">
        <v>78</v>
      </c>
      <c r="C54" s="23">
        <f>467000/1000</f>
        <v>467</v>
      </c>
      <c r="D54" s="23"/>
      <c r="E54" s="23">
        <f>467000/1000</f>
        <v>467</v>
      </c>
    </row>
    <row r="55" spans="2:5" ht="12.75">
      <c r="B55" s="24" t="s">
        <v>79</v>
      </c>
      <c r="C55" s="23">
        <f>43571593/1000</f>
        <v>43571.593</v>
      </c>
      <c r="D55" s="23"/>
      <c r="E55" s="23">
        <f>43080019/1000</f>
        <v>43080.019</v>
      </c>
    </row>
    <row r="56" spans="2:5" ht="12.75">
      <c r="B56" s="24" t="s">
        <v>80</v>
      </c>
      <c r="C56" s="23">
        <f>348798/1000</f>
        <v>348.798</v>
      </c>
      <c r="D56" s="23"/>
      <c r="E56" s="23">
        <f>366796/1000</f>
        <v>366.796</v>
      </c>
    </row>
    <row r="57" spans="2:5" ht="12.75">
      <c r="B57" s="24" t="s">
        <v>81</v>
      </c>
      <c r="C57" s="23">
        <f>-(144015268)/1000</f>
        <v>-144015.268</v>
      </c>
      <c r="D57" s="23"/>
      <c r="E57" s="23">
        <f>-45559866/1000</f>
        <v>-45559.866</v>
      </c>
    </row>
    <row r="58" spans="3:5" ht="12.75">
      <c r="C58" s="30">
        <f>SUM(C51:C57)</f>
        <v>562527.997</v>
      </c>
      <c r="D58" s="23"/>
      <c r="E58" s="30">
        <f>SUM(E51:E57)</f>
        <v>660509.823</v>
      </c>
    </row>
    <row r="59" spans="3:5" ht="12.75">
      <c r="C59" s="23"/>
      <c r="D59" s="23"/>
      <c r="E59" s="31"/>
    </row>
    <row r="60" spans="2:5" ht="12.75">
      <c r="B60" s="21" t="s">
        <v>82</v>
      </c>
      <c r="C60" s="23">
        <f>67866408/1000</f>
        <v>67866.408</v>
      </c>
      <c r="D60" s="23"/>
      <c r="E60" s="23">
        <f>66368035/1000</f>
        <v>66368.035</v>
      </c>
    </row>
    <row r="61" spans="2:5" ht="12.75">
      <c r="B61" s="21" t="s">
        <v>149</v>
      </c>
      <c r="C61" s="23"/>
      <c r="D61" s="23"/>
      <c r="E61" s="23"/>
    </row>
    <row r="62" spans="2:5" ht="12.75">
      <c r="B62" s="18" t="s">
        <v>83</v>
      </c>
      <c r="C62" s="23">
        <f>(183098250-45000000-62150000)/1000</f>
        <v>75948.25</v>
      </c>
      <c r="D62" s="23"/>
      <c r="E62" s="23">
        <f>68664616/1000</f>
        <v>68664.616</v>
      </c>
    </row>
    <row r="63" spans="2:5" ht="12.75">
      <c r="B63" s="18" t="s">
        <v>84</v>
      </c>
      <c r="C63" s="23">
        <f>27370000/1000</f>
        <v>27370</v>
      </c>
      <c r="D63" s="23"/>
      <c r="E63" s="23">
        <f>27370000/1000</f>
        <v>27370</v>
      </c>
    </row>
    <row r="64" spans="2:5" ht="12.75">
      <c r="B64" s="18" t="s">
        <v>85</v>
      </c>
      <c r="C64" s="23">
        <f>65398511/1000</f>
        <v>65398.511</v>
      </c>
      <c r="D64" s="23"/>
      <c r="E64" s="23">
        <f>62160795/1000</f>
        <v>62160.795</v>
      </c>
    </row>
    <row r="65" spans="2:5" ht="12.75">
      <c r="B65" s="18" t="s">
        <v>86</v>
      </c>
      <c r="C65" s="23">
        <f>122981530/1000</f>
        <v>122981.53</v>
      </c>
      <c r="D65" s="23"/>
      <c r="E65" s="23">
        <f>126525012/1000</f>
        <v>126525.012</v>
      </c>
    </row>
    <row r="66" spans="2:5" ht="12.75">
      <c r="B66" s="18" t="s">
        <v>70</v>
      </c>
      <c r="C66" s="23">
        <f>123175/1000</f>
        <v>123.175</v>
      </c>
      <c r="D66" s="23"/>
      <c r="E66" s="23">
        <f>297267/1000</f>
        <v>297.267</v>
      </c>
    </row>
    <row r="67" spans="3:5" ht="23.25" customHeight="1" thickBot="1">
      <c r="C67" s="28">
        <f>SUM(C58:C66)</f>
        <v>922215.871</v>
      </c>
      <c r="D67" s="23"/>
      <c r="E67" s="28">
        <f>SUM(E58:E66)</f>
        <v>1011895.5480000001</v>
      </c>
    </row>
    <row r="68" spans="3:5" ht="13.5" thickTop="1">
      <c r="C68" s="23"/>
      <c r="D68" s="23"/>
      <c r="E68" s="23"/>
    </row>
    <row r="69" spans="3:5" ht="12.75">
      <c r="C69" s="23"/>
      <c r="D69" s="23"/>
      <c r="E69" s="23"/>
    </row>
    <row r="70" spans="2:5" ht="12.75">
      <c r="B70" s="21" t="s">
        <v>87</v>
      </c>
      <c r="C70" s="52">
        <f>(C58-C23-C24)/C51*100</f>
        <v>211.1057468742035</v>
      </c>
      <c r="D70" s="23"/>
      <c r="E70" s="52">
        <f>(E58-E23-E24)/E51*100</f>
        <v>249.08345941203987</v>
      </c>
    </row>
    <row r="71" spans="3:5" ht="12.75">
      <c r="C71" s="23"/>
      <c r="D71" s="23"/>
      <c r="E71" s="23"/>
    </row>
  </sheetData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48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18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.140625" style="2" customWidth="1"/>
    <col min="2" max="3" width="4.7109375" style="2" customWidth="1"/>
    <col min="4" max="9" width="9.140625" style="2" customWidth="1"/>
    <col min="10" max="12" width="11.7109375" style="2" customWidth="1"/>
    <col min="13" max="16384" width="9.140625" style="2" customWidth="1"/>
  </cols>
  <sheetData>
    <row r="2" ht="20.25">
      <c r="B2" s="61" t="s">
        <v>192</v>
      </c>
    </row>
    <row r="3" ht="15">
      <c r="B3" s="47" t="s">
        <v>145</v>
      </c>
    </row>
    <row r="4" ht="15">
      <c r="B4" s="46"/>
    </row>
    <row r="5" ht="15">
      <c r="B5" s="3" t="s">
        <v>167</v>
      </c>
    </row>
    <row r="6" spans="2:12" ht="15">
      <c r="B6" s="4" t="s">
        <v>156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8" ht="15">
      <c r="B8" s="1" t="s">
        <v>89</v>
      </c>
    </row>
    <row r="10" spans="2:3" ht="15">
      <c r="B10" s="6" t="s">
        <v>7</v>
      </c>
      <c r="C10" s="1" t="s">
        <v>90</v>
      </c>
    </row>
    <row r="11" ht="15">
      <c r="C11" s="2" t="s">
        <v>195</v>
      </c>
    </row>
    <row r="12" ht="15">
      <c r="C12" s="2" t="s">
        <v>196</v>
      </c>
    </row>
    <row r="13" ht="15">
      <c r="C13" s="2" t="s">
        <v>197</v>
      </c>
    </row>
    <row r="14" ht="15">
      <c r="C14" s="2" t="s">
        <v>198</v>
      </c>
    </row>
    <row r="15" ht="15">
      <c r="C15" s="2" t="s">
        <v>199</v>
      </c>
    </row>
    <row r="18" spans="2:3" ht="15">
      <c r="B18" s="6" t="s">
        <v>14</v>
      </c>
      <c r="C18" s="1" t="s">
        <v>21</v>
      </c>
    </row>
    <row r="19" spans="2:12" ht="15">
      <c r="B19" s="6"/>
      <c r="C19" s="2" t="s">
        <v>170</v>
      </c>
      <c r="L19" s="7"/>
    </row>
    <row r="20" ht="15">
      <c r="L20" s="7" t="s">
        <v>6</v>
      </c>
    </row>
    <row r="21" spans="3:12" ht="15">
      <c r="C21" s="2" t="s">
        <v>157</v>
      </c>
      <c r="L21" s="8">
        <f>(8842597/1000)</f>
        <v>8842.597</v>
      </c>
    </row>
    <row r="22" spans="3:12" ht="15">
      <c r="C22" s="2" t="s">
        <v>158</v>
      </c>
      <c r="L22" s="8">
        <f>-3712003/1000</f>
        <v>-3712.003</v>
      </c>
    </row>
    <row r="23" spans="3:12" ht="15">
      <c r="C23" s="2" t="s">
        <v>159</v>
      </c>
      <c r="L23" s="8">
        <f>-1356533/1000</f>
        <v>-1356.533</v>
      </c>
    </row>
    <row r="24" spans="3:12" ht="15">
      <c r="C24" s="2" t="s">
        <v>160</v>
      </c>
      <c r="L24" s="8">
        <f>-16936703/1000</f>
        <v>-16936.703</v>
      </c>
    </row>
    <row r="25" spans="3:12" ht="15">
      <c r="C25" s="2" t="s">
        <v>161</v>
      </c>
      <c r="L25" s="8">
        <f>-5007035/1000</f>
        <v>-5007.035</v>
      </c>
    </row>
    <row r="26" spans="3:12" ht="15">
      <c r="C26" s="2" t="s">
        <v>162</v>
      </c>
      <c r="L26" s="8">
        <f>-7219929/1000</f>
        <v>-7219.929</v>
      </c>
    </row>
    <row r="27" spans="3:12" ht="15">
      <c r="C27" s="2" t="s">
        <v>147</v>
      </c>
      <c r="L27" s="8">
        <f>-65407882/1000</f>
        <v>-65407.882</v>
      </c>
    </row>
    <row r="28" ht="15">
      <c r="L28" s="62">
        <v>-90798</v>
      </c>
    </row>
    <row r="31" spans="2:3" ht="15">
      <c r="B31" s="6" t="s">
        <v>40</v>
      </c>
      <c r="C31" s="1" t="s">
        <v>37</v>
      </c>
    </row>
    <row r="32" ht="15">
      <c r="C32" s="2" t="s">
        <v>91</v>
      </c>
    </row>
    <row r="35" spans="2:3" ht="15">
      <c r="B35" s="6" t="s">
        <v>92</v>
      </c>
      <c r="C35" s="1" t="s">
        <v>30</v>
      </c>
    </row>
    <row r="36" ht="15">
      <c r="C36" s="2" t="s">
        <v>187</v>
      </c>
    </row>
    <row r="37" ht="15">
      <c r="C37" s="2" t="s">
        <v>202</v>
      </c>
    </row>
    <row r="38" ht="15">
      <c r="L38" s="7" t="s">
        <v>6</v>
      </c>
    </row>
    <row r="39" spans="3:12" ht="15">
      <c r="C39" s="32" t="s">
        <v>31</v>
      </c>
      <c r="D39" s="2" t="s">
        <v>201</v>
      </c>
      <c r="L39" s="9">
        <v>-1096</v>
      </c>
    </row>
    <row r="40" spans="3:12" ht="15">
      <c r="C40" s="32" t="s">
        <v>118</v>
      </c>
      <c r="D40" s="2" t="s">
        <v>200</v>
      </c>
      <c r="L40" s="9">
        <f>L41-L39</f>
        <v>5661</v>
      </c>
    </row>
    <row r="41" spans="11:12" ht="15">
      <c r="K41" s="63"/>
      <c r="L41" s="10">
        <f>'Income Stmt'!F31</f>
        <v>4565</v>
      </c>
    </row>
    <row r="44" spans="2:3" ht="15">
      <c r="B44" s="6" t="s">
        <v>93</v>
      </c>
      <c r="C44" s="1" t="s">
        <v>94</v>
      </c>
    </row>
    <row r="45" ht="15">
      <c r="C45" s="2" t="s">
        <v>171</v>
      </c>
    </row>
    <row r="48" spans="2:3" ht="15">
      <c r="B48" s="6" t="s">
        <v>95</v>
      </c>
      <c r="C48" s="1" t="s">
        <v>96</v>
      </c>
    </row>
    <row r="49" ht="15">
      <c r="C49" s="2" t="s">
        <v>205</v>
      </c>
    </row>
    <row r="50" ht="15">
      <c r="C50" s="2" t="s">
        <v>206</v>
      </c>
    </row>
    <row r="51" ht="15">
      <c r="C51" s="2" t="s">
        <v>191</v>
      </c>
    </row>
    <row r="54" spans="2:3" ht="15">
      <c r="B54" s="6" t="s">
        <v>97</v>
      </c>
      <c r="C54" s="1" t="s">
        <v>98</v>
      </c>
    </row>
    <row r="55" spans="3:4" ht="15">
      <c r="C55" s="32" t="s">
        <v>8</v>
      </c>
      <c r="D55" s="2" t="s">
        <v>168</v>
      </c>
    </row>
    <row r="56" ht="15">
      <c r="D56" s="2" t="s">
        <v>169</v>
      </c>
    </row>
    <row r="58" spans="3:4" ht="15">
      <c r="C58" s="32" t="s">
        <v>10</v>
      </c>
      <c r="D58" s="2" t="s">
        <v>164</v>
      </c>
    </row>
    <row r="59" spans="4:12" ht="15">
      <c r="D59" s="39"/>
      <c r="E59" s="40"/>
      <c r="F59" s="40"/>
      <c r="G59" s="40"/>
      <c r="H59" s="40"/>
      <c r="I59" s="40"/>
      <c r="J59" s="40"/>
      <c r="K59" s="40"/>
      <c r="L59" s="38" t="s">
        <v>6</v>
      </c>
    </row>
    <row r="60" spans="4:12" ht="19.5" customHeight="1">
      <c r="D60" s="39" t="s">
        <v>141</v>
      </c>
      <c r="E60" s="40"/>
      <c r="F60" s="40"/>
      <c r="G60" s="40"/>
      <c r="H60" s="40"/>
      <c r="I60" s="40"/>
      <c r="J60" s="40"/>
      <c r="K60" s="40"/>
      <c r="L60" s="41">
        <f>203788228/1000</f>
        <v>203788.228</v>
      </c>
    </row>
    <row r="61" spans="4:12" ht="19.5" customHeight="1">
      <c r="D61" s="39" t="s">
        <v>148</v>
      </c>
      <c r="E61" s="40"/>
      <c r="F61" s="40"/>
      <c r="G61" s="40"/>
      <c r="H61" s="40"/>
      <c r="I61" s="40"/>
      <c r="J61" s="40"/>
      <c r="K61" s="40"/>
      <c r="L61" s="45">
        <f>179207586/1000</f>
        <v>179207.586</v>
      </c>
    </row>
    <row r="62" spans="4:12" ht="19.5" customHeight="1">
      <c r="D62" s="42" t="s">
        <v>142</v>
      </c>
      <c r="E62" s="43"/>
      <c r="F62" s="43"/>
      <c r="G62" s="43"/>
      <c r="H62" s="43"/>
      <c r="I62" s="43"/>
      <c r="J62" s="43"/>
      <c r="K62" s="43"/>
      <c r="L62" s="44">
        <f>138819750/1000</f>
        <v>138819.75</v>
      </c>
    </row>
    <row r="65" spans="2:3" ht="15">
      <c r="B65" s="6" t="s">
        <v>99</v>
      </c>
      <c r="C65" s="1" t="s">
        <v>100</v>
      </c>
    </row>
    <row r="66" ht="15">
      <c r="C66" s="2" t="s">
        <v>190</v>
      </c>
    </row>
    <row r="67" spans="2:3" ht="15">
      <c r="B67" s="6"/>
      <c r="C67" s="2" t="s">
        <v>188</v>
      </c>
    </row>
    <row r="68" ht="15">
      <c r="B68" s="6"/>
    </row>
    <row r="69" spans="3:4" ht="15">
      <c r="C69" s="2" t="s">
        <v>184</v>
      </c>
      <c r="D69" s="2" t="s">
        <v>207</v>
      </c>
    </row>
    <row r="70" ht="15">
      <c r="D70" s="2" t="s">
        <v>208</v>
      </c>
    </row>
    <row r="72" spans="3:4" ht="15">
      <c r="C72" s="2" t="s">
        <v>185</v>
      </c>
      <c r="D72" s="2" t="s">
        <v>209</v>
      </c>
    </row>
    <row r="73" ht="15">
      <c r="D73" s="2" t="s">
        <v>210</v>
      </c>
    </row>
    <row r="75" spans="3:4" ht="15">
      <c r="C75" s="2" t="s">
        <v>12</v>
      </c>
      <c r="D75" s="2" t="s">
        <v>211</v>
      </c>
    </row>
    <row r="76" ht="15">
      <c r="D76" s="2" t="s">
        <v>212</v>
      </c>
    </row>
    <row r="78" spans="3:4" ht="15">
      <c r="C78" s="2" t="s">
        <v>20</v>
      </c>
      <c r="D78" s="2" t="s">
        <v>213</v>
      </c>
    </row>
    <row r="79" ht="15">
      <c r="D79" s="2" t="s">
        <v>214</v>
      </c>
    </row>
    <row r="80" ht="15">
      <c r="D80" s="2" t="s">
        <v>215</v>
      </c>
    </row>
    <row r="83" spans="2:3" ht="15">
      <c r="B83" s="6" t="s">
        <v>101</v>
      </c>
      <c r="C83" s="1" t="s">
        <v>102</v>
      </c>
    </row>
    <row r="84" ht="15">
      <c r="C84" s="2" t="s">
        <v>172</v>
      </c>
    </row>
    <row r="85" ht="15">
      <c r="C85" s="2" t="s">
        <v>173</v>
      </c>
    </row>
    <row r="86" ht="15">
      <c r="C86" s="2" t="s">
        <v>174</v>
      </c>
    </row>
    <row r="87" ht="15">
      <c r="C87" s="2" t="s">
        <v>175</v>
      </c>
    </row>
    <row r="89" ht="15">
      <c r="C89" s="2" t="s">
        <v>177</v>
      </c>
    </row>
    <row r="90" spans="3:4" ht="15">
      <c r="C90" s="32" t="s">
        <v>8</v>
      </c>
      <c r="D90" s="2" t="s">
        <v>103</v>
      </c>
    </row>
    <row r="92" spans="3:4" ht="15">
      <c r="C92" s="2" t="s">
        <v>10</v>
      </c>
      <c r="D92" s="2" t="s">
        <v>216</v>
      </c>
    </row>
    <row r="93" ht="15">
      <c r="D93" s="2" t="s">
        <v>217</v>
      </c>
    </row>
    <row r="95" spans="3:4" ht="15">
      <c r="C95" s="2" t="s">
        <v>12</v>
      </c>
      <c r="D95" s="2" t="s">
        <v>176</v>
      </c>
    </row>
    <row r="96" ht="15">
      <c r="D96" s="2" t="s">
        <v>218</v>
      </c>
    </row>
    <row r="97" ht="15">
      <c r="D97" s="2" t="s">
        <v>219</v>
      </c>
    </row>
    <row r="99" ht="15">
      <c r="C99" s="2" t="s">
        <v>178</v>
      </c>
    </row>
    <row r="100" ht="15">
      <c r="C100" s="2" t="s">
        <v>182</v>
      </c>
    </row>
    <row r="101" ht="15">
      <c r="C101" s="2" t="s">
        <v>183</v>
      </c>
    </row>
    <row r="102" ht="15">
      <c r="C102" s="2" t="s">
        <v>179</v>
      </c>
    </row>
    <row r="105" spans="2:3" ht="15">
      <c r="B105" s="6" t="s">
        <v>104</v>
      </c>
      <c r="C105" s="1" t="s">
        <v>105</v>
      </c>
    </row>
    <row r="106" ht="15">
      <c r="C106" s="2" t="s">
        <v>106</v>
      </c>
    </row>
    <row r="109" spans="2:3" ht="15">
      <c r="B109" s="6" t="s">
        <v>107</v>
      </c>
      <c r="C109" s="1" t="s">
        <v>108</v>
      </c>
    </row>
    <row r="110" ht="15">
      <c r="C110" s="2" t="s">
        <v>144</v>
      </c>
    </row>
    <row r="111" ht="15">
      <c r="C111" s="2" t="s">
        <v>180</v>
      </c>
    </row>
    <row r="114" spans="2:3" ht="15">
      <c r="B114" s="6" t="s">
        <v>109</v>
      </c>
      <c r="C114" s="1" t="s">
        <v>110</v>
      </c>
    </row>
    <row r="115" ht="15">
      <c r="C115" s="2" t="s">
        <v>163</v>
      </c>
    </row>
    <row r="117" spans="3:12" ht="15"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6</v>
      </c>
    </row>
    <row r="118" spans="3:12" ht="24.75" customHeight="1">
      <c r="C118" s="42" t="s">
        <v>111</v>
      </c>
      <c r="D118" s="43"/>
      <c r="E118" s="5"/>
      <c r="F118" s="43"/>
      <c r="G118" s="43"/>
      <c r="H118" s="43"/>
      <c r="I118" s="43"/>
      <c r="J118" s="43"/>
      <c r="K118" s="43"/>
      <c r="L118" s="44">
        <f>293767635/1000</f>
        <v>293767.635</v>
      </c>
    </row>
    <row r="119" spans="3:12" ht="24.75" customHeight="1">
      <c r="C119" s="42" t="s">
        <v>112</v>
      </c>
      <c r="D119" s="43"/>
      <c r="E119" s="43"/>
      <c r="F119" s="43"/>
      <c r="G119" s="43"/>
      <c r="H119" s="43"/>
      <c r="I119" s="43"/>
      <c r="J119" s="43"/>
      <c r="K119" s="64"/>
      <c r="L119" s="50">
        <f>75948250/1000</f>
        <v>75948.25</v>
      </c>
    </row>
    <row r="120" spans="3:12" ht="24.75" customHeight="1">
      <c r="C120" s="37"/>
      <c r="D120" s="37"/>
      <c r="E120" s="37"/>
      <c r="F120" s="37"/>
      <c r="G120" s="37"/>
      <c r="H120" s="37"/>
      <c r="I120" s="37"/>
      <c r="J120" s="37"/>
      <c r="K120" s="37"/>
      <c r="L120" s="65">
        <f>SUM(L118:L119)</f>
        <v>369715.885</v>
      </c>
    </row>
    <row r="121" spans="4:12" ht="15">
      <c r="D121" s="37"/>
      <c r="F121" s="37"/>
      <c r="G121" s="37"/>
      <c r="H121" s="37"/>
      <c r="I121" s="37"/>
      <c r="J121" s="37"/>
      <c r="K121" s="37"/>
      <c r="L121" s="51"/>
    </row>
    <row r="122" spans="4:12" ht="15">
      <c r="D122" s="37"/>
      <c r="F122" s="37"/>
      <c r="G122" s="37"/>
      <c r="H122" s="37"/>
      <c r="I122" s="37"/>
      <c r="J122" s="37"/>
      <c r="K122" s="37"/>
      <c r="L122" s="51"/>
    </row>
    <row r="123" spans="2:3" ht="15">
      <c r="B123" s="6" t="s">
        <v>113</v>
      </c>
      <c r="C123" s="1" t="s">
        <v>114</v>
      </c>
    </row>
    <row r="124" ht="15">
      <c r="C124" s="2" t="s">
        <v>165</v>
      </c>
    </row>
    <row r="125" ht="15">
      <c r="C125" s="2" t="s">
        <v>181</v>
      </c>
    </row>
    <row r="128" spans="2:3" ht="15">
      <c r="B128" s="6" t="s">
        <v>115</v>
      </c>
      <c r="C128" s="1" t="s">
        <v>116</v>
      </c>
    </row>
    <row r="129" ht="15">
      <c r="C129" s="2" t="s">
        <v>220</v>
      </c>
    </row>
    <row r="130" ht="15">
      <c r="C130" s="2" t="s">
        <v>221</v>
      </c>
    </row>
    <row r="133" spans="2:3" ht="15">
      <c r="B133" s="6" t="s">
        <v>117</v>
      </c>
      <c r="C133" s="1" t="s">
        <v>203</v>
      </c>
    </row>
    <row r="134" ht="15">
      <c r="C134" s="2" t="s">
        <v>222</v>
      </c>
    </row>
    <row r="135" spans="3:4" ht="15">
      <c r="C135" s="2" t="s">
        <v>31</v>
      </c>
      <c r="D135" s="2" t="s">
        <v>223</v>
      </c>
    </row>
    <row r="136" ht="15">
      <c r="D136" s="2" t="s">
        <v>224</v>
      </c>
    </row>
    <row r="137" ht="15">
      <c r="D137" s="2" t="s">
        <v>225</v>
      </c>
    </row>
    <row r="139" spans="3:4" ht="15">
      <c r="C139" s="2" t="s">
        <v>118</v>
      </c>
      <c r="D139" s="2" t="s">
        <v>143</v>
      </c>
    </row>
    <row r="140" ht="15">
      <c r="D140" s="2" t="s">
        <v>204</v>
      </c>
    </row>
    <row r="141" ht="15">
      <c r="D141" s="2" t="s">
        <v>226</v>
      </c>
    </row>
    <row r="142" ht="15">
      <c r="D142" s="2" t="s">
        <v>228</v>
      </c>
    </row>
    <row r="143" ht="15">
      <c r="D143" s="2" t="s">
        <v>227</v>
      </c>
    </row>
    <row r="145" spans="2:3" ht="15">
      <c r="B145" s="6" t="s">
        <v>119</v>
      </c>
      <c r="C145" s="1" t="s">
        <v>120</v>
      </c>
    </row>
    <row r="146" ht="13.5" customHeight="1">
      <c r="C146" s="2" t="s">
        <v>189</v>
      </c>
    </row>
    <row r="147" spans="11:12" ht="15">
      <c r="K147" s="7" t="s">
        <v>126</v>
      </c>
      <c r="L147" s="7" t="s">
        <v>128</v>
      </c>
    </row>
    <row r="148" spans="10:12" ht="15">
      <c r="J148" s="7" t="s">
        <v>9</v>
      </c>
      <c r="K148" s="7" t="s">
        <v>127</v>
      </c>
      <c r="L148" s="7" t="s">
        <v>129</v>
      </c>
    </row>
    <row r="149" spans="10:12" ht="15">
      <c r="J149" s="7" t="s">
        <v>6</v>
      </c>
      <c r="K149" s="7" t="s">
        <v>6</v>
      </c>
      <c r="L149" s="7" t="s">
        <v>6</v>
      </c>
    </row>
    <row r="150" spans="3:12" ht="15">
      <c r="C150" s="32" t="s">
        <v>121</v>
      </c>
      <c r="J150" s="9">
        <f>151451904/1000</f>
        <v>151451.904</v>
      </c>
      <c r="K150" s="9">
        <v>-64453</v>
      </c>
      <c r="L150" s="8">
        <v>1079871</v>
      </c>
    </row>
    <row r="151" spans="3:12" ht="15">
      <c r="C151" s="32" t="s">
        <v>122</v>
      </c>
      <c r="J151" s="9">
        <f>178397/1000</f>
        <v>178.397</v>
      </c>
      <c r="K151" s="9">
        <f>(-3745443+1216686)/1000</f>
        <v>-2528.757</v>
      </c>
      <c r="L151" s="9">
        <v>16189</v>
      </c>
    </row>
    <row r="152" spans="3:12" ht="15">
      <c r="C152" s="32" t="s">
        <v>123</v>
      </c>
      <c r="J152" s="9">
        <f>13332377/1000</f>
        <v>13332.377</v>
      </c>
      <c r="K152" s="9">
        <f>-1280448/1000</f>
        <v>-1280.448</v>
      </c>
      <c r="L152" s="9">
        <f>12189811/1000</f>
        <v>12189.811</v>
      </c>
    </row>
    <row r="153" spans="3:12" ht="15">
      <c r="C153" s="32" t="s">
        <v>124</v>
      </c>
      <c r="J153" s="9">
        <f>1793115/1000</f>
        <v>1793.115</v>
      </c>
      <c r="K153" s="9">
        <f>-22436810/1000</f>
        <v>-22436.81</v>
      </c>
      <c r="L153" s="9">
        <v>235413</v>
      </c>
    </row>
    <row r="154" spans="3:12" ht="15">
      <c r="C154" s="32" t="s">
        <v>125</v>
      </c>
      <c r="J154" s="9">
        <f>596000/1000</f>
        <v>596</v>
      </c>
      <c r="K154" s="9">
        <f>-203445/1000</f>
        <v>-203.445</v>
      </c>
      <c r="L154" s="9">
        <f>24465893/1000</f>
        <v>24465.893</v>
      </c>
    </row>
    <row r="155" spans="3:12" ht="15">
      <c r="C155" s="32" t="s">
        <v>166</v>
      </c>
      <c r="J155" s="9">
        <v>0</v>
      </c>
      <c r="K155" s="51">
        <f>(-5216432-1216686)/1000</f>
        <v>-6433.118</v>
      </c>
      <c r="L155" s="9">
        <v>5810</v>
      </c>
    </row>
    <row r="156" spans="10:12" ht="15">
      <c r="J156" s="11">
        <f>SUM(J150:J155)</f>
        <v>167351.793</v>
      </c>
      <c r="K156" s="11">
        <f>SUM(K150:K155)</f>
        <v>-97335.57800000001</v>
      </c>
      <c r="L156" s="11">
        <f>SUM(L150:L155)</f>
        <v>1373938.704</v>
      </c>
    </row>
    <row r="157" spans="9:12" ht="15">
      <c r="I157" s="51"/>
      <c r="J157" s="51"/>
      <c r="K157" s="51"/>
      <c r="L157" s="51"/>
    </row>
    <row r="158" spans="9:12" ht="15">
      <c r="I158" s="51"/>
      <c r="J158" s="51"/>
      <c r="K158" s="51"/>
      <c r="L158" s="51"/>
    </row>
    <row r="159" spans="2:3" ht="15">
      <c r="B159" s="6" t="s">
        <v>130</v>
      </c>
      <c r="C159" s="1" t="s">
        <v>131</v>
      </c>
    </row>
    <row r="160" ht="15">
      <c r="C160" s="2" t="s">
        <v>229</v>
      </c>
    </row>
    <row r="161" ht="15">
      <c r="C161" s="2" t="s">
        <v>230</v>
      </c>
    </row>
    <row r="162" ht="15">
      <c r="C162" s="2" t="s">
        <v>231</v>
      </c>
    </row>
    <row r="163" ht="15">
      <c r="C163" s="2" t="s">
        <v>232</v>
      </c>
    </row>
    <row r="166" spans="2:3" ht="15">
      <c r="B166" s="6" t="s">
        <v>132</v>
      </c>
      <c r="C166" s="1" t="s">
        <v>133</v>
      </c>
    </row>
    <row r="167" ht="15">
      <c r="C167" s="2" t="s">
        <v>233</v>
      </c>
    </row>
    <row r="168" ht="15">
      <c r="C168" s="2" t="s">
        <v>234</v>
      </c>
    </row>
    <row r="169" ht="15">
      <c r="C169" s="2" t="s">
        <v>235</v>
      </c>
    </row>
    <row r="170" ht="15">
      <c r="C170" s="2" t="s">
        <v>236</v>
      </c>
    </row>
    <row r="171" ht="15">
      <c r="C171" s="2" t="s">
        <v>239</v>
      </c>
    </row>
    <row r="173" ht="15">
      <c r="C173" s="2" t="s">
        <v>237</v>
      </c>
    </row>
    <row r="174" ht="15">
      <c r="C174" s="2" t="s">
        <v>238</v>
      </c>
    </row>
    <row r="177" spans="2:3" ht="15">
      <c r="B177" s="6" t="s">
        <v>134</v>
      </c>
      <c r="C177" s="1" t="s">
        <v>135</v>
      </c>
    </row>
    <row r="178" ht="15">
      <c r="C178" s="2" t="s">
        <v>240</v>
      </c>
    </row>
    <row r="179" ht="15">
      <c r="C179" s="2" t="s">
        <v>241</v>
      </c>
    </row>
    <row r="180" ht="15">
      <c r="C180" s="2" t="s">
        <v>186</v>
      </c>
    </row>
    <row r="183" spans="2:3" ht="15">
      <c r="B183" s="6" t="s">
        <v>136</v>
      </c>
      <c r="C183" s="1" t="s">
        <v>137</v>
      </c>
    </row>
    <row r="184" ht="15">
      <c r="C184" s="2" t="s">
        <v>138</v>
      </c>
    </row>
    <row r="187" spans="2:3" ht="15">
      <c r="B187" s="6" t="s">
        <v>139</v>
      </c>
      <c r="C187" s="1" t="s">
        <v>140</v>
      </c>
    </row>
    <row r="188" ht="15">
      <c r="C188" s="2" t="s">
        <v>242</v>
      </c>
    </row>
  </sheetData>
  <printOptions/>
  <pageMargins left="0.35" right="0.29" top="0.62" bottom="0.75" header="0.28" footer="0.32"/>
  <pageSetup fitToHeight="0" horizontalDpi="300" verticalDpi="300" orientation="portrait" paperSize="9" scale="95" r:id="rId1"/>
  <rowBreaks count="4" manualBreakCount="4">
    <brk id="53" min="1" max="11" man="1"/>
    <brk id="82" min="1" max="11" man="1"/>
    <brk id="122" min="1" max="11" man="1"/>
    <brk id="16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Dijaya Corporation Berhad</cp:lastModifiedBy>
  <cp:lastPrinted>2000-02-28T04:47:06Z</cp:lastPrinted>
  <dcterms:created xsi:type="dcterms:W3CDTF">1999-11-16T09:13:51Z</dcterms:created>
  <dcterms:modified xsi:type="dcterms:W3CDTF">2000-02-26T03:44:26Z</dcterms:modified>
  <cp:category/>
  <cp:version/>
  <cp:contentType/>
  <cp:contentStatus/>
</cp:coreProperties>
</file>